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Meine Dokumente (lokal)\EG Puls\GenoVersammlungen\2024-07-17\"/>
    </mc:Choice>
  </mc:AlternateContent>
  <xr:revisionPtr revIDLastSave="0" documentId="13_ncr:1_{7C53A6D3-8246-46AE-A2F8-357188107951}" xr6:coauthVersionLast="47" xr6:coauthVersionMax="47" xr10:uidLastSave="{00000000-0000-0000-0000-000000000000}"/>
  <bookViews>
    <workbookView xWindow="1125" yWindow="1125" windowWidth="26460" windowHeight="14115" xr2:uid="{D7834DBC-2179-467F-AE01-972B5A5AFE46}"/>
  </bookViews>
  <sheets>
    <sheet name="Vergleich" sheetId="10" r:id="rId1"/>
  </sheets>
  <definedNames>
    <definedName name="_xlnm.Print_Area" localSheetId="0">Vergleich!$A$1:$H$32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10" l="1"/>
  <c r="E27" i="10" s="1"/>
  <c r="G27" i="10" s="1"/>
  <c r="C26" i="10"/>
  <c r="E26" i="10" s="1"/>
  <c r="G26" i="10" s="1"/>
  <c r="C25" i="10"/>
  <c r="E25" i="10" s="1"/>
  <c r="G25" i="10" s="1"/>
  <c r="H24" i="10"/>
  <c r="F24" i="10"/>
  <c r="B24" i="10"/>
  <c r="H21" i="10"/>
  <c r="F21" i="10"/>
  <c r="H20" i="10"/>
  <c r="H12" i="10"/>
  <c r="F12" i="10"/>
  <c r="D12" i="10"/>
  <c r="H11" i="10"/>
  <c r="F11" i="10"/>
  <c r="D11" i="10"/>
  <c r="B11" i="10"/>
  <c r="C4" i="10"/>
  <c r="C3" i="10"/>
  <c r="C2" i="10"/>
  <c r="C5" i="10" l="1"/>
  <c r="B17" i="10" s="1"/>
  <c r="B18" i="10" s="1"/>
  <c r="B22" i="10" s="1"/>
  <c r="F13" i="10"/>
  <c r="F16" i="10" s="1"/>
  <c r="D13" i="10"/>
  <c r="D16" i="10" s="1"/>
  <c r="B12" i="10"/>
  <c r="B13" i="10" s="1"/>
  <c r="B16" i="10" s="1"/>
  <c r="H13" i="10"/>
  <c r="H16" i="10" s="1"/>
  <c r="D23" i="10"/>
  <c r="D24" i="10" s="1"/>
  <c r="D17" i="10" l="1"/>
  <c r="D19" i="10" s="1"/>
  <c r="B25" i="10"/>
  <c r="B26" i="10" s="1"/>
  <c r="D29" i="10"/>
  <c r="F17" i="10"/>
  <c r="B29" i="10"/>
  <c r="B27" i="10" l="1"/>
  <c r="D22" i="10"/>
  <c r="D25" i="10"/>
  <c r="H17" i="10"/>
  <c r="H18" i="10" s="1"/>
  <c r="H22" i="10" s="1"/>
  <c r="H25" i="10" s="1"/>
  <c r="F18" i="10"/>
  <c r="F22" i="10" s="1"/>
  <c r="F25" i="10" s="1"/>
  <c r="F26" i="10" l="1"/>
  <c r="F27" i="10"/>
  <c r="D26" i="10"/>
  <c r="D27" i="10"/>
  <c r="H26" i="10"/>
  <c r="H27" i="10"/>
</calcChain>
</file>

<file path=xl/sharedStrings.xml><?xml version="1.0" encoding="utf-8"?>
<sst xmlns="http://schemas.openxmlformats.org/spreadsheetml/2006/main" count="91" uniqueCount="54">
  <si>
    <t>kWh</t>
  </si>
  <si>
    <t>Verbrauch im Jahr 2023</t>
  </si>
  <si>
    <t>Heizöl (l)</t>
  </si>
  <si>
    <t>Gas (m3)</t>
  </si>
  <si>
    <t>Gas (kWh)</t>
  </si>
  <si>
    <t>Summe</t>
  </si>
  <si>
    <t>Luft-Wasser Wärmepumpe</t>
  </si>
  <si>
    <t>Erdgas + Solarthermie</t>
  </si>
  <si>
    <t>Pelletkessel</t>
  </si>
  <si>
    <t>Fernwärme</t>
  </si>
  <si>
    <t>Wärmepumpe</t>
  </si>
  <si>
    <t>Erdgastherme</t>
  </si>
  <si>
    <t>Genossenschaftsbeitrag</t>
  </si>
  <si>
    <t>inkl. Kollektor</t>
  </si>
  <si>
    <t>Solarthermieanlage</t>
  </si>
  <si>
    <t>Lager</t>
  </si>
  <si>
    <t>Anschlussgebühr</t>
  </si>
  <si>
    <t>Montage</t>
  </si>
  <si>
    <t>Investition gesamt</t>
  </si>
  <si>
    <t> Förderung 55%</t>
  </si>
  <si>
    <t>Förderung 0 %</t>
  </si>
  <si>
    <t>Förderung 50%</t>
  </si>
  <si>
    <t>Gesamtinvestition</t>
  </si>
  <si>
    <t>Zinssatz Darlehen</t>
  </si>
  <si>
    <t>Laufzeit in Jahren</t>
  </si>
  <si>
    <t>Kapitalgebundene Kosten</t>
  </si>
  <si>
    <t>Nutzwärme</t>
  </si>
  <si>
    <t>Stromzukauf</t>
  </si>
  <si>
    <t>Davon aus Solarthermie</t>
  </si>
  <si>
    <t>Pelleteinkauf</t>
  </si>
  <si>
    <t>Wärmebedarf</t>
  </si>
  <si>
    <t>Erdgasbezug</t>
  </si>
  <si>
    <t>Strompreis inkl. MwSt.</t>
  </si>
  <si>
    <t>Erdgaspreis inkl. MwSt.</t>
  </si>
  <si>
    <t>Pelletpreis inkl. MwSt.</t>
  </si>
  <si>
    <t>Arbeitspreis inkl. MwSt.</t>
  </si>
  <si>
    <t>Grundpreis inkl. MwSt. p.a.</t>
  </si>
  <si>
    <t>Wartung- und Instandhaltung</t>
  </si>
  <si>
    <t>Jahreskosten</t>
  </si>
  <si>
    <t>Monatskosten</t>
  </si>
  <si>
    <t>Kosten/kWh</t>
  </si>
  <si>
    <t>Anteil erneuerbarer Energie</t>
  </si>
  <si>
    <t>Strompreis kein Ökostrompreis. Um 65 % Anteil erneuerbarer Enegien zu nutzen, muss zusätzlich ein Ökogas-Tarif gewählt werden.</t>
  </si>
  <si>
    <t>Bitte Heizöl (l), Gas (m3) 
oder Gas (kWh) eingeben!</t>
  </si>
  <si>
    <t>Grundpreis</t>
  </si>
  <si>
    <t>Verbrauchsgebundene Kosten</t>
  </si>
  <si>
    <t>Betriebsgebundene Kosten</t>
  </si>
  <si>
    <t>Vorteile
keine neue Heizung erforderlich, statt dessen "Heizungsabo"
Preisstabilität durch Mitglieder steuerbar
geringster Gesamtpreis</t>
  </si>
  <si>
    <t>Anschluss Hausübergabe-station und hydraulischer Abgleich</t>
  </si>
  <si>
    <t>COP: 3,0</t>
  </si>
  <si>
    <t>Nachteil 
möglicherweise nötiger Sanierungsarbeiten um mit 60 Grad Vorlauftemperatur auszukommen</t>
  </si>
  <si>
    <t>Nachteil
Hohe Unsicherheit beim Gaspreis und der CO2 -Bepreisung</t>
  </si>
  <si>
    <t>Nachteil
großer Platzbedarf, Versorgungsprobleme in der Vergangenheit</t>
  </si>
  <si>
    <t>Förderung
Grundförderung 30%, 
Geschwindigkeitsbonus 20%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</si>
</sst>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\ &quot;kWh&quot;"/>
    <numFmt numFmtId="165" formatCode="#,##0.00\ &quot;ct/kWh&quot;"/>
    <numFmt numFmtId="166" formatCode="#,##0.00\ &quot;€/t&quot;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color rgb="FFFFFFFF"/>
      <name val="Calibri"/>
      <family val="2"/>
    </font>
    <font>
      <sz val="12"/>
      <color rgb="FF000000"/>
      <name val="Calibri"/>
      <family val="2"/>
    </font>
    <font>
      <sz val="12"/>
      <color rgb="FFFF0000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1" xfId="0" applyFont="1" applyBorder="1" applyAlignment="1">
      <alignment vertical="center"/>
    </xf>
    <xf numFmtId="0" fontId="4" fillId="0" borderId="0" xfId="0" applyFont="1"/>
    <xf numFmtId="0" fontId="7" fillId="3" borderId="4" xfId="0" applyFont="1" applyFill="1" applyBorder="1" applyAlignment="1">
      <alignment horizontal="left" wrapText="1" readingOrder="1"/>
    </xf>
    <xf numFmtId="8" fontId="8" fillId="3" borderId="5" xfId="0" applyNumberFormat="1" applyFont="1" applyFill="1" applyBorder="1" applyAlignment="1">
      <alignment horizontal="right" wrapText="1" readingOrder="1"/>
    </xf>
    <xf numFmtId="0" fontId="7" fillId="3" borderId="6" xfId="0" applyFont="1" applyFill="1" applyBorder="1" applyAlignment="1">
      <alignment horizontal="left" wrapText="1" readingOrder="1"/>
    </xf>
    <xf numFmtId="0" fontId="8" fillId="3" borderId="7" xfId="0" applyFont="1" applyFill="1" applyBorder="1" applyAlignment="1">
      <alignment horizontal="right" wrapText="1" readingOrder="1"/>
    </xf>
    <xf numFmtId="8" fontId="8" fillId="3" borderId="7" xfId="0" applyNumberFormat="1" applyFont="1" applyFill="1" applyBorder="1" applyAlignment="1">
      <alignment horizontal="right" wrapText="1" readingOrder="1"/>
    </xf>
    <xf numFmtId="0" fontId="7" fillId="3" borderId="2" xfId="0" applyFont="1" applyFill="1" applyBorder="1" applyAlignment="1">
      <alignment horizontal="left" wrapText="1" readingOrder="1"/>
    </xf>
    <xf numFmtId="8" fontId="8" fillId="3" borderId="3" xfId="0" applyNumberFormat="1" applyFont="1" applyFill="1" applyBorder="1" applyAlignment="1">
      <alignment horizontal="right" wrapText="1" readingOrder="1"/>
    </xf>
    <xf numFmtId="0" fontId="7" fillId="4" borderId="2" xfId="0" applyFont="1" applyFill="1" applyBorder="1" applyAlignment="1">
      <alignment horizontal="left" wrapText="1" readingOrder="1"/>
    </xf>
    <xf numFmtId="8" fontId="7" fillId="3" borderId="5" xfId="0" applyNumberFormat="1" applyFont="1" applyFill="1" applyBorder="1" applyAlignment="1">
      <alignment horizontal="right" wrapText="1" readingOrder="1"/>
    </xf>
    <xf numFmtId="10" fontId="8" fillId="3" borderId="7" xfId="0" applyNumberFormat="1" applyFont="1" applyFill="1" applyBorder="1" applyAlignment="1">
      <alignment horizontal="right" wrapText="1" readingOrder="1"/>
    </xf>
    <xf numFmtId="0" fontId="7" fillId="3" borderId="8" xfId="0" applyFont="1" applyFill="1" applyBorder="1" applyAlignment="1">
      <alignment horizontal="left" wrapText="1" readingOrder="1"/>
    </xf>
    <xf numFmtId="164" fontId="8" fillId="3" borderId="9" xfId="0" applyNumberFormat="1" applyFont="1" applyFill="1" applyBorder="1" applyAlignment="1">
      <alignment horizontal="right" wrapText="1" readingOrder="1"/>
    </xf>
    <xf numFmtId="0" fontId="7" fillId="3" borderId="10" xfId="0" applyFont="1" applyFill="1" applyBorder="1" applyAlignment="1">
      <alignment horizontal="left" wrapText="1" readingOrder="1"/>
    </xf>
    <xf numFmtId="164" fontId="8" fillId="3" borderId="11" xfId="0" applyNumberFormat="1" applyFont="1" applyFill="1" applyBorder="1" applyAlignment="1">
      <alignment horizontal="right" wrapText="1" readingOrder="1"/>
    </xf>
    <xf numFmtId="0" fontId="7" fillId="3" borderId="7" xfId="0" applyFont="1" applyFill="1" applyBorder="1" applyAlignment="1">
      <alignment horizontal="right" wrapText="1" readingOrder="1"/>
    </xf>
    <xf numFmtId="164" fontId="7" fillId="3" borderId="7" xfId="0" applyNumberFormat="1" applyFont="1" applyFill="1" applyBorder="1" applyAlignment="1">
      <alignment horizontal="right" wrapText="1" readingOrder="1"/>
    </xf>
    <xf numFmtId="165" fontId="8" fillId="3" borderId="7" xfId="0" applyNumberFormat="1" applyFont="1" applyFill="1" applyBorder="1" applyAlignment="1">
      <alignment horizontal="right" wrapText="1" readingOrder="1"/>
    </xf>
    <xf numFmtId="166" fontId="8" fillId="3" borderId="7" xfId="0" applyNumberFormat="1" applyFont="1" applyFill="1" applyBorder="1" applyAlignment="1">
      <alignment horizontal="right" wrapText="1" readingOrder="1"/>
    </xf>
    <xf numFmtId="0" fontId="7" fillId="3" borderId="4" xfId="0" applyFont="1" applyFill="1" applyBorder="1" applyAlignment="1">
      <alignment horizontal="left" vertical="center" wrapText="1" readingOrder="1"/>
    </xf>
    <xf numFmtId="8" fontId="7" fillId="3" borderId="5" xfId="0" applyNumberFormat="1" applyFont="1" applyFill="1" applyBorder="1" applyAlignment="1">
      <alignment horizontal="right" vertical="center" wrapText="1" readingOrder="1"/>
    </xf>
    <xf numFmtId="8" fontId="8" fillId="3" borderId="5" xfId="0" applyNumberFormat="1" applyFont="1" applyFill="1" applyBorder="1" applyAlignment="1">
      <alignment horizontal="right" vertical="center" wrapText="1" readingOrder="1"/>
    </xf>
    <xf numFmtId="0" fontId="9" fillId="5" borderId="0" xfId="0" applyFont="1" applyFill="1" applyAlignment="1">
      <alignment horizontal="left" wrapText="1" readingOrder="1"/>
    </xf>
    <xf numFmtId="0" fontId="9" fillId="6" borderId="0" xfId="0" applyFont="1" applyFill="1" applyAlignment="1">
      <alignment horizontal="left" wrapText="1" readingOrder="1"/>
    </xf>
    <xf numFmtId="0" fontId="9" fillId="7" borderId="0" xfId="0" applyFont="1" applyFill="1" applyAlignment="1">
      <alignment horizontal="left" wrapText="1" readingOrder="1"/>
    </xf>
    <xf numFmtId="0" fontId="4" fillId="0" borderId="0" xfId="0" applyFont="1" applyAlignment="1">
      <alignment wrapText="1"/>
    </xf>
    <xf numFmtId="0" fontId="2" fillId="0" borderId="1" xfId="0" applyFont="1" applyBorder="1" applyAlignment="1">
      <alignment horizontal="right" vertical="center"/>
    </xf>
    <xf numFmtId="0" fontId="2" fillId="0" borderId="0" xfId="0" applyFont="1" applyAlignment="1">
      <alignment wrapText="1"/>
    </xf>
    <xf numFmtId="0" fontId="3" fillId="0" borderId="0" xfId="0" applyFont="1"/>
    <xf numFmtId="0" fontId="3" fillId="0" borderId="1" xfId="0" applyFont="1" applyBorder="1"/>
    <xf numFmtId="0" fontId="3" fillId="5" borderId="1" xfId="0" applyFont="1" applyFill="1" applyBorder="1" applyProtection="1">
      <protection locked="0"/>
    </xf>
    <xf numFmtId="0" fontId="2" fillId="0" borderId="1" xfId="0" applyFont="1" applyBorder="1"/>
    <xf numFmtId="0" fontId="4" fillId="0" borderId="0" xfId="0" applyFont="1" applyAlignment="1">
      <alignment vertical="center"/>
    </xf>
    <xf numFmtId="44" fontId="7" fillId="3" borderId="7" xfId="1" applyFont="1" applyFill="1" applyBorder="1" applyAlignment="1" applyProtection="1">
      <alignment horizontal="right" wrapText="1" readingOrder="1"/>
    </xf>
    <xf numFmtId="0" fontId="5" fillId="0" borderId="0" xfId="0" applyFont="1" applyAlignment="1">
      <alignment vertical="center"/>
    </xf>
    <xf numFmtId="0" fontId="9" fillId="0" borderId="0" xfId="0" applyFont="1" applyAlignment="1">
      <alignment horizontal="left" wrapText="1" readingOrder="1"/>
    </xf>
    <xf numFmtId="9" fontId="4" fillId="0" borderId="0" xfId="2" applyFont="1" applyFill="1" applyProtection="1"/>
    <xf numFmtId="0" fontId="9" fillId="3" borderId="12" xfId="0" applyFont="1" applyFill="1" applyBorder="1" applyAlignment="1">
      <alignment horizontal="left" vertical="center" wrapText="1" readingOrder="1"/>
    </xf>
    <xf numFmtId="8" fontId="9" fillId="3" borderId="13" xfId="0" applyNumberFormat="1" applyFont="1" applyFill="1" applyBorder="1" applyAlignment="1">
      <alignment horizontal="right" vertical="center" wrapText="1" readingOrder="1"/>
    </xf>
    <xf numFmtId="0" fontId="9" fillId="3" borderId="2" xfId="0" applyFont="1" applyFill="1" applyBorder="1" applyAlignment="1">
      <alignment horizontal="left" vertical="center" wrapText="1" readingOrder="1"/>
    </xf>
    <xf numFmtId="8" fontId="9" fillId="3" borderId="3" xfId="0" applyNumberFormat="1" applyFont="1" applyFill="1" applyBorder="1" applyAlignment="1">
      <alignment horizontal="right" vertical="center" wrapText="1" readingOrder="1"/>
    </xf>
    <xf numFmtId="165" fontId="9" fillId="3" borderId="3" xfId="0" applyNumberFormat="1" applyFont="1" applyFill="1" applyBorder="1" applyAlignment="1">
      <alignment horizontal="right" vertical="center" wrapText="1" readingOrder="1"/>
    </xf>
    <xf numFmtId="9" fontId="10" fillId="5" borderId="0" xfId="2" applyFont="1" applyFill="1" applyProtection="1"/>
    <xf numFmtId="0" fontId="4" fillId="0" borderId="0" xfId="0" applyFont="1" applyAlignment="1">
      <alignment horizontal="left" vertical="top" wrapText="1" indent="1"/>
    </xf>
    <xf numFmtId="0" fontId="4" fillId="5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 readingOrder="1"/>
    </xf>
    <xf numFmtId="0" fontId="6" fillId="2" borderId="3" xfId="0" applyFont="1" applyFill="1" applyBorder="1" applyAlignment="1">
      <alignment horizontal="center" vertical="center" wrapText="1" readingOrder="1"/>
    </xf>
  </cellXfs>
  <cellStyles count="3">
    <cellStyle name="Prozent" xfId="2" builtinId="5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4C3D7-CC6C-4CD3-97BA-D811D4F4C9BD}">
  <dimension ref="A1:H34"/>
  <sheetViews>
    <sheetView showGridLines="0" tabSelected="1" view="pageLayout" zoomScaleNormal="100" workbookViewId="0">
      <selection activeCell="B2" sqref="B2"/>
    </sheetView>
  </sheetViews>
  <sheetFormatPr baseColWidth="10" defaultRowHeight="15.75" x14ac:dyDescent="0.25"/>
  <cols>
    <col min="1" max="1" width="30.42578125" style="2" customWidth="1"/>
    <col min="2" max="2" width="14.28515625" style="2" customWidth="1"/>
    <col min="3" max="3" width="30" style="2" customWidth="1"/>
    <col min="4" max="4" width="15" style="2" customWidth="1"/>
    <col min="5" max="5" width="30.5703125" style="2" customWidth="1"/>
    <col min="6" max="6" width="15.42578125" style="2" customWidth="1"/>
    <col min="7" max="7" width="30.28515625" style="2" customWidth="1"/>
    <col min="8" max="8" width="15.28515625" style="2" customWidth="1"/>
    <col min="9" max="16384" width="11.42578125" style="2"/>
  </cols>
  <sheetData>
    <row r="1" spans="1:8" s="30" customFormat="1" ht="18.75" x14ac:dyDescent="0.3">
      <c r="A1" s="1" t="s">
        <v>1</v>
      </c>
      <c r="B1" s="1"/>
      <c r="C1" s="28" t="s">
        <v>0</v>
      </c>
      <c r="D1" s="46" t="s">
        <v>43</v>
      </c>
      <c r="E1" s="29"/>
    </row>
    <row r="2" spans="1:8" s="30" customFormat="1" ht="18.75" x14ac:dyDescent="0.3">
      <c r="A2" s="31" t="s">
        <v>2</v>
      </c>
      <c r="B2" s="32">
        <v>1800</v>
      </c>
      <c r="C2" s="31">
        <f>IF(B2&lt;&gt;"",B2*10,"")</f>
        <v>18000</v>
      </c>
      <c r="D2" s="46"/>
    </row>
    <row r="3" spans="1:8" s="30" customFormat="1" ht="18.75" x14ac:dyDescent="0.3">
      <c r="A3" s="31" t="s">
        <v>3</v>
      </c>
      <c r="B3" s="32"/>
      <c r="C3" s="31" t="str">
        <f>IF(B3&lt;&gt;"",B3*10,"")</f>
        <v/>
      </c>
      <c r="D3" s="46"/>
    </row>
    <row r="4" spans="1:8" s="30" customFormat="1" ht="18.75" x14ac:dyDescent="0.3">
      <c r="A4" s="31" t="s">
        <v>4</v>
      </c>
      <c r="B4" s="32"/>
      <c r="C4" s="31" t="str">
        <f>IF(B4&lt;&gt;"",B4,"")</f>
        <v/>
      </c>
      <c r="D4" s="46"/>
    </row>
    <row r="5" spans="1:8" s="30" customFormat="1" ht="18.75" x14ac:dyDescent="0.3">
      <c r="A5" s="33" t="s">
        <v>5</v>
      </c>
      <c r="B5" s="33"/>
      <c r="C5" s="33">
        <f>SUM(C2:C4)</f>
        <v>18000</v>
      </c>
      <c r="D5" s="46"/>
    </row>
    <row r="7" spans="1:8" x14ac:dyDescent="0.25">
      <c r="A7" s="47" t="s">
        <v>6</v>
      </c>
      <c r="B7" s="48"/>
      <c r="C7" s="47" t="s">
        <v>7</v>
      </c>
      <c r="D7" s="48"/>
      <c r="E7" s="47" t="s">
        <v>8</v>
      </c>
      <c r="F7" s="48"/>
      <c r="G7" s="47" t="s">
        <v>9</v>
      </c>
      <c r="H7" s="48"/>
    </row>
    <row r="8" spans="1:8" x14ac:dyDescent="0.25">
      <c r="A8" s="3" t="s">
        <v>10</v>
      </c>
      <c r="B8" s="4">
        <v>30000</v>
      </c>
      <c r="C8" s="3" t="s">
        <v>11</v>
      </c>
      <c r="D8" s="4">
        <v>13000</v>
      </c>
      <c r="E8" s="3" t="s">
        <v>8</v>
      </c>
      <c r="F8" s="4">
        <v>26000</v>
      </c>
      <c r="G8" s="3" t="s">
        <v>12</v>
      </c>
      <c r="H8" s="4">
        <v>2500</v>
      </c>
    </row>
    <row r="9" spans="1:8" x14ac:dyDescent="0.25">
      <c r="A9" s="5" t="s">
        <v>13</v>
      </c>
      <c r="B9" s="6"/>
      <c r="C9" s="5" t="s">
        <v>14</v>
      </c>
      <c r="D9" s="7">
        <v>10000</v>
      </c>
      <c r="E9" s="5" t="s">
        <v>15</v>
      </c>
      <c r="F9" s="7">
        <v>4500</v>
      </c>
      <c r="G9" s="5" t="s">
        <v>16</v>
      </c>
      <c r="H9" s="7">
        <v>4500</v>
      </c>
    </row>
    <row r="10" spans="1:8" ht="47.25" x14ac:dyDescent="0.25">
      <c r="A10" s="5" t="s">
        <v>17</v>
      </c>
      <c r="B10" s="7">
        <v>5500</v>
      </c>
      <c r="C10" s="5" t="s">
        <v>17</v>
      </c>
      <c r="D10" s="7">
        <v>3500</v>
      </c>
      <c r="E10" s="5" t="s">
        <v>17</v>
      </c>
      <c r="F10" s="7">
        <v>3000</v>
      </c>
      <c r="G10" s="5" t="s">
        <v>48</v>
      </c>
      <c r="H10" s="7">
        <v>2000</v>
      </c>
    </row>
    <row r="11" spans="1:8" s="36" customFormat="1" ht="25.5" customHeight="1" x14ac:dyDescent="0.25">
      <c r="A11" s="39" t="s">
        <v>18</v>
      </c>
      <c r="B11" s="40">
        <f>SUM(B8:B10)</f>
        <v>35500</v>
      </c>
      <c r="C11" s="39" t="s">
        <v>18</v>
      </c>
      <c r="D11" s="40">
        <f>SUM(D8:D10)</f>
        <v>26500</v>
      </c>
      <c r="E11" s="39" t="s">
        <v>18</v>
      </c>
      <c r="F11" s="40">
        <f>SUM(F8:F10)</f>
        <v>33500</v>
      </c>
      <c r="G11" s="39" t="s">
        <v>18</v>
      </c>
      <c r="H11" s="40">
        <f>SUM(H8:H10)</f>
        <v>9000</v>
      </c>
    </row>
    <row r="12" spans="1:8" x14ac:dyDescent="0.25">
      <c r="A12" s="8" t="s">
        <v>19</v>
      </c>
      <c r="B12" s="9">
        <f>B11*0.55</f>
        <v>19525</v>
      </c>
      <c r="C12" s="10" t="s">
        <v>20</v>
      </c>
      <c r="D12" s="9">
        <f>+D9*0</f>
        <v>0</v>
      </c>
      <c r="E12" s="8" t="s">
        <v>21</v>
      </c>
      <c r="F12" s="9">
        <f>F11*0.5</f>
        <v>16750</v>
      </c>
      <c r="G12" s="8" t="s">
        <v>21</v>
      </c>
      <c r="H12" s="9">
        <f>(H9+H10)*0.5</f>
        <v>3250</v>
      </c>
    </row>
    <row r="13" spans="1:8" x14ac:dyDescent="0.25">
      <c r="A13" s="3" t="s">
        <v>22</v>
      </c>
      <c r="B13" s="11">
        <f>B11-B12</f>
        <v>15975</v>
      </c>
      <c r="C13" s="3" t="s">
        <v>22</v>
      </c>
      <c r="D13" s="11">
        <f>D11-D12</f>
        <v>26500</v>
      </c>
      <c r="E13" s="3" t="s">
        <v>22</v>
      </c>
      <c r="F13" s="11">
        <f>F11-F12</f>
        <v>16750</v>
      </c>
      <c r="G13" s="3" t="s">
        <v>22</v>
      </c>
      <c r="H13" s="11">
        <f>H11-H12</f>
        <v>5750</v>
      </c>
    </row>
    <row r="14" spans="1:8" x14ac:dyDescent="0.25">
      <c r="A14" s="5" t="s">
        <v>23</v>
      </c>
      <c r="B14" s="12">
        <v>0.04</v>
      </c>
      <c r="C14" s="5" t="s">
        <v>23</v>
      </c>
      <c r="D14" s="12">
        <v>0.04</v>
      </c>
      <c r="E14" s="5" t="s">
        <v>23</v>
      </c>
      <c r="F14" s="12">
        <v>0.04</v>
      </c>
      <c r="G14" s="5" t="s">
        <v>23</v>
      </c>
      <c r="H14" s="12">
        <v>0.04</v>
      </c>
    </row>
    <row r="15" spans="1:8" x14ac:dyDescent="0.25">
      <c r="A15" s="5" t="s">
        <v>24</v>
      </c>
      <c r="B15" s="6">
        <v>15</v>
      </c>
      <c r="C15" s="5" t="s">
        <v>24</v>
      </c>
      <c r="D15" s="6">
        <v>15</v>
      </c>
      <c r="E15" s="5" t="s">
        <v>24</v>
      </c>
      <c r="F15" s="6">
        <v>15</v>
      </c>
      <c r="G15" s="5" t="s">
        <v>24</v>
      </c>
      <c r="H15" s="6">
        <v>15</v>
      </c>
    </row>
    <row r="16" spans="1:8" s="34" customFormat="1" ht="21" customHeight="1" x14ac:dyDescent="0.25">
      <c r="A16" s="39" t="s">
        <v>25</v>
      </c>
      <c r="B16" s="40">
        <f>-PMT(B14,B15,B13)</f>
        <v>1436.8090784262968</v>
      </c>
      <c r="C16" s="39" t="s">
        <v>25</v>
      </c>
      <c r="D16" s="40">
        <f>-PMT(D14,D15,D13)</f>
        <v>2383.4391598307898</v>
      </c>
      <c r="E16" s="39" t="s">
        <v>25</v>
      </c>
      <c r="F16" s="40">
        <f>-PMT(F14,F15,F13)</f>
        <v>1506.5134312138011</v>
      </c>
      <c r="G16" s="39" t="s">
        <v>25</v>
      </c>
      <c r="H16" s="40">
        <f>-PMT(H14,H15,H13)</f>
        <v>517.16132713309582</v>
      </c>
    </row>
    <row r="17" spans="1:8" ht="16.5" thickBot="1" x14ac:dyDescent="0.3">
      <c r="A17" s="13" t="s">
        <v>26</v>
      </c>
      <c r="B17" s="14">
        <f>C5</f>
        <v>18000</v>
      </c>
      <c r="C17" s="13" t="s">
        <v>26</v>
      </c>
      <c r="D17" s="14">
        <f>B17</f>
        <v>18000</v>
      </c>
      <c r="E17" s="13" t="s">
        <v>26</v>
      </c>
      <c r="F17" s="14">
        <f>D17</f>
        <v>18000</v>
      </c>
      <c r="G17" s="13" t="s">
        <v>26</v>
      </c>
      <c r="H17" s="14">
        <f>F17</f>
        <v>18000</v>
      </c>
    </row>
    <row r="18" spans="1:8" x14ac:dyDescent="0.25">
      <c r="A18" s="15" t="s">
        <v>27</v>
      </c>
      <c r="B18" s="16">
        <f>B17/3</f>
        <v>6000</v>
      </c>
      <c r="C18" s="15" t="s">
        <v>28</v>
      </c>
      <c r="D18" s="16">
        <v>4000</v>
      </c>
      <c r="E18" s="15" t="s">
        <v>29</v>
      </c>
      <c r="F18" s="16">
        <f>F17/0.9</f>
        <v>20000</v>
      </c>
      <c r="G18" s="15" t="s">
        <v>30</v>
      </c>
      <c r="H18" s="16">
        <f>H17</f>
        <v>18000</v>
      </c>
    </row>
    <row r="19" spans="1:8" x14ac:dyDescent="0.25">
      <c r="A19" s="5" t="s">
        <v>49</v>
      </c>
      <c r="B19" s="17"/>
      <c r="C19" s="5" t="s">
        <v>31</v>
      </c>
      <c r="D19" s="18">
        <f>D17-D18/2.105</f>
        <v>16099.762470308789</v>
      </c>
      <c r="E19" s="5"/>
      <c r="F19" s="18"/>
      <c r="G19" s="5"/>
      <c r="H19" s="18"/>
    </row>
    <row r="20" spans="1:8" x14ac:dyDescent="0.25">
      <c r="A20" s="5" t="s">
        <v>32</v>
      </c>
      <c r="B20" s="19">
        <v>34.5</v>
      </c>
      <c r="C20" s="5" t="s">
        <v>33</v>
      </c>
      <c r="D20" s="19">
        <v>9.5</v>
      </c>
      <c r="E20" s="5" t="s">
        <v>34</v>
      </c>
      <c r="F20" s="20">
        <v>490</v>
      </c>
      <c r="G20" s="5" t="s">
        <v>35</v>
      </c>
      <c r="H20" s="19">
        <f>9*1.19</f>
        <v>10.709999999999999</v>
      </c>
    </row>
    <row r="21" spans="1:8" x14ac:dyDescent="0.25">
      <c r="A21" s="5" t="s">
        <v>36</v>
      </c>
      <c r="B21" s="35">
        <v>180</v>
      </c>
      <c r="C21" s="5" t="s">
        <v>36</v>
      </c>
      <c r="D21" s="35">
        <v>180</v>
      </c>
      <c r="E21" s="5"/>
      <c r="F21" s="19">
        <f>F20/470*10</f>
        <v>10.425531914893618</v>
      </c>
      <c r="G21" s="5" t="s">
        <v>44</v>
      </c>
      <c r="H21" s="7">
        <f>70*12</f>
        <v>840</v>
      </c>
    </row>
    <row r="22" spans="1:8" s="34" customFormat="1" ht="21" customHeight="1" x14ac:dyDescent="0.25">
      <c r="A22" s="39" t="s">
        <v>45</v>
      </c>
      <c r="B22" s="40">
        <f>B18*B20/100+B21</f>
        <v>2250</v>
      </c>
      <c r="C22" s="39" t="s">
        <v>45</v>
      </c>
      <c r="D22" s="40">
        <f>D19*D20/100+D21</f>
        <v>1709.4774346793349</v>
      </c>
      <c r="E22" s="39" t="s">
        <v>45</v>
      </c>
      <c r="F22" s="40">
        <f>F18*F21/100</f>
        <v>2085.1063829787236</v>
      </c>
      <c r="G22" s="39" t="s">
        <v>45</v>
      </c>
      <c r="H22" s="40">
        <f>H18*H20/100+H21</f>
        <v>2767.7999999999997</v>
      </c>
    </row>
    <row r="23" spans="1:8" x14ac:dyDescent="0.25">
      <c r="A23" s="21" t="s">
        <v>37</v>
      </c>
      <c r="B23" s="22">
        <v>250</v>
      </c>
      <c r="C23" s="21" t="s">
        <v>37</v>
      </c>
      <c r="D23" s="22">
        <f>+D11*1.5%</f>
        <v>397.5</v>
      </c>
      <c r="E23" s="21" t="s">
        <v>37</v>
      </c>
      <c r="F23" s="22">
        <v>350</v>
      </c>
      <c r="G23" s="21" t="s">
        <v>37</v>
      </c>
      <c r="H23" s="23">
        <v>75</v>
      </c>
    </row>
    <row r="24" spans="1:8" s="34" customFormat="1" ht="21" customHeight="1" x14ac:dyDescent="0.25">
      <c r="A24" s="39" t="s">
        <v>46</v>
      </c>
      <c r="B24" s="40">
        <f>+B23</f>
        <v>250</v>
      </c>
      <c r="C24" s="39" t="s">
        <v>46</v>
      </c>
      <c r="D24" s="40">
        <f>+D23</f>
        <v>397.5</v>
      </c>
      <c r="E24" s="39" t="s">
        <v>46</v>
      </c>
      <c r="F24" s="40">
        <f>+F23</f>
        <v>350</v>
      </c>
      <c r="G24" s="39" t="s">
        <v>46</v>
      </c>
      <c r="H24" s="40">
        <f>+H23</f>
        <v>75</v>
      </c>
    </row>
    <row r="25" spans="1:8" s="34" customFormat="1" ht="21" customHeight="1" x14ac:dyDescent="0.25">
      <c r="A25" s="41" t="s">
        <v>38</v>
      </c>
      <c r="B25" s="42">
        <f>+B24+B22+B16</f>
        <v>3936.8090784262968</v>
      </c>
      <c r="C25" s="41" t="str">
        <f>A25</f>
        <v>Jahreskosten</v>
      </c>
      <c r="D25" s="42">
        <f>D16+D19*D20/100+D21+D24</f>
        <v>4490.4165945101249</v>
      </c>
      <c r="E25" s="41" t="str">
        <f>C25</f>
        <v>Jahreskosten</v>
      </c>
      <c r="F25" s="42">
        <f>+F24+F22+F16</f>
        <v>3941.6198141925247</v>
      </c>
      <c r="G25" s="41" t="str">
        <f>E25</f>
        <v>Jahreskosten</v>
      </c>
      <c r="H25" s="42">
        <f>+H24+H22+H16</f>
        <v>3359.9613271330954</v>
      </c>
    </row>
    <row r="26" spans="1:8" s="34" customFormat="1" ht="21" customHeight="1" x14ac:dyDescent="0.25">
      <c r="A26" s="41" t="s">
        <v>39</v>
      </c>
      <c r="B26" s="42">
        <f>+B25/12</f>
        <v>328.06742320219138</v>
      </c>
      <c r="C26" s="41" t="str">
        <f t="shared" ref="C26:C27" si="0">A26</f>
        <v>Monatskosten</v>
      </c>
      <c r="D26" s="42">
        <f>+D25/12</f>
        <v>374.20138287584376</v>
      </c>
      <c r="E26" s="41" t="str">
        <f t="shared" ref="E26:E27" si="1">C26</f>
        <v>Monatskosten</v>
      </c>
      <c r="F26" s="42">
        <f>+F25/12</f>
        <v>328.46831784937706</v>
      </c>
      <c r="G26" s="41" t="str">
        <f t="shared" ref="G26:G27" si="2">E26</f>
        <v>Monatskosten</v>
      </c>
      <c r="H26" s="42">
        <f>+H25/12</f>
        <v>279.99677726109127</v>
      </c>
    </row>
    <row r="27" spans="1:8" s="34" customFormat="1" ht="21" customHeight="1" x14ac:dyDescent="0.25">
      <c r="A27" s="41" t="s">
        <v>40</v>
      </c>
      <c r="B27" s="43">
        <f>+B25/B17*100</f>
        <v>21.871161546812758</v>
      </c>
      <c r="C27" s="41" t="str">
        <f t="shared" si="0"/>
        <v>Kosten/kWh</v>
      </c>
      <c r="D27" s="43">
        <f>+D25/D17*100</f>
        <v>24.946758858389583</v>
      </c>
      <c r="E27" s="41" t="str">
        <f t="shared" si="1"/>
        <v>Kosten/kWh</v>
      </c>
      <c r="F27" s="43">
        <f>+F25/F17*100</f>
        <v>21.897887856625136</v>
      </c>
      <c r="G27" s="41" t="str">
        <f t="shared" si="2"/>
        <v>Kosten/kWh</v>
      </c>
      <c r="H27" s="43">
        <f>+H25/H17*100</f>
        <v>18.666451817406085</v>
      </c>
    </row>
    <row r="29" spans="1:8" x14ac:dyDescent="0.25">
      <c r="A29" s="24" t="s">
        <v>41</v>
      </c>
      <c r="B29" s="44">
        <f>(B17-B18)/B17</f>
        <v>0.66666666666666663</v>
      </c>
      <c r="C29" s="25" t="s">
        <v>41</v>
      </c>
      <c r="D29" s="44">
        <f>1-(D17-D18)/D17</f>
        <v>0.22222222222222221</v>
      </c>
      <c r="E29" s="26" t="s">
        <v>41</v>
      </c>
      <c r="F29" s="44">
        <v>1</v>
      </c>
      <c r="G29" s="26" t="s">
        <v>41</v>
      </c>
      <c r="H29" s="44">
        <v>1</v>
      </c>
    </row>
    <row r="30" spans="1:8" x14ac:dyDescent="0.25">
      <c r="A30" s="37"/>
      <c r="B30" s="38"/>
      <c r="C30" s="37"/>
      <c r="D30" s="38"/>
      <c r="E30" s="37"/>
      <c r="F30" s="38"/>
      <c r="G30" s="37"/>
      <c r="H30" s="38"/>
    </row>
    <row r="31" spans="1:8" s="34" customFormat="1" ht="53.25" customHeight="1" x14ac:dyDescent="0.25">
      <c r="A31" s="45" t="s">
        <v>53</v>
      </c>
      <c r="B31" s="45"/>
      <c r="C31" s="45" t="s">
        <v>42</v>
      </c>
      <c r="D31" s="45"/>
      <c r="E31" s="45" t="s">
        <v>53</v>
      </c>
      <c r="F31" s="45"/>
      <c r="G31" s="45" t="s">
        <v>53</v>
      </c>
      <c r="H31" s="45"/>
    </row>
    <row r="32" spans="1:8" ht="88.5" customHeight="1" x14ac:dyDescent="0.25">
      <c r="A32" s="45" t="s">
        <v>50</v>
      </c>
      <c r="B32" s="45"/>
      <c r="C32" s="45" t="s">
        <v>51</v>
      </c>
      <c r="D32" s="45"/>
      <c r="E32" s="45" t="s">
        <v>52</v>
      </c>
      <c r="F32" s="45"/>
      <c r="G32" s="45" t="s">
        <v>47</v>
      </c>
      <c r="H32" s="45"/>
    </row>
    <row r="33" spans="7:7" x14ac:dyDescent="0.25">
      <c r="G33" s="27"/>
    </row>
    <row r="34" spans="7:7" x14ac:dyDescent="0.25">
      <c r="G34" s="27"/>
    </row>
  </sheetData>
  <sheetProtection algorithmName="SHA-512" hashValue="VoTG+Qd+6t/H1cAe7XJX1Ec/PvJtFgv6nJZ+IWA/HjUHWXip1VacecLKgaEHltCsuezjQnR7zZuLtPQmtEZHvQ==" saltValue="JD+7P7/KzdIDzvdVHTE9OQ==" spinCount="100000" sheet="1" objects="1" scenarios="1" selectLockedCells="1"/>
  <protectedRanges>
    <protectedRange sqref="B2:C5" name="Bereich1_3"/>
  </protectedRanges>
  <mergeCells count="13">
    <mergeCell ref="A32:B32"/>
    <mergeCell ref="C32:D32"/>
    <mergeCell ref="E32:F32"/>
    <mergeCell ref="G32:H32"/>
    <mergeCell ref="D1:D5"/>
    <mergeCell ref="A7:B7"/>
    <mergeCell ref="C7:D7"/>
    <mergeCell ref="E7:F7"/>
    <mergeCell ref="G7:H7"/>
    <mergeCell ref="A31:B31"/>
    <mergeCell ref="C31:D31"/>
    <mergeCell ref="E31:F31"/>
    <mergeCell ref="G31:H31"/>
  </mergeCells>
  <pageMargins left="0.70833333333333337" right="0.25" top="0.69791666666666663" bottom="0.78740157499999996" header="0.3" footer="0.3"/>
  <pageSetup paperSize="9" orientation="portrait" verticalDpi="0" r:id="rId1"/>
  <headerFooter>
    <oddHeader>&amp;LEGP&amp;CVergleichsrechnung&amp;RSeite &amp;P von &amp;N</oddHeader>
    <oddFooter>&amp;C&amp;F&amp;R&amp;A</oddFooter>
  </headerFooter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Vergleich</vt:lpstr>
      <vt:lpstr>Vergleich!Druckbereich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Müller</dc:creator>
  <cp:lastModifiedBy>Thomas Müller</cp:lastModifiedBy>
  <cp:lastPrinted>2024-07-16T09:42:34Z</cp:lastPrinted>
  <dcterms:created xsi:type="dcterms:W3CDTF">2024-07-08T07:20:29Z</dcterms:created>
  <dcterms:modified xsi:type="dcterms:W3CDTF">2024-07-17T08:51:13Z</dcterms:modified>
</cp:coreProperties>
</file>